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395" windowHeight="5895" activeTab="0"/>
  </bookViews>
  <sheets>
    <sheet name="Лист1" sheetId="1" r:id="rId1"/>
    <sheet name="Лист2" sheetId="2" r:id="rId2"/>
    <sheet name="Лист3" sheetId="3" r:id="rId3"/>
    <sheet name="DV-IDENTITY-0" sheetId="4" state="veryHidden" r:id="rId4"/>
  </sheets>
  <definedNames/>
  <calcPr fullCalcOnLoad="1"/>
</workbook>
</file>

<file path=xl/sharedStrings.xml><?xml version="1.0" encoding="utf-8"?>
<sst xmlns="http://schemas.openxmlformats.org/spreadsheetml/2006/main" count="115" uniqueCount="50">
  <si>
    <t>Site: http://www.IntlabAgency.com</t>
  </si>
  <si>
    <t>Email: dmitry@intlabagency.com</t>
  </si>
  <si>
    <t>tel.: +1 267-776-2296 (PA, Philadelphia, US)</t>
  </si>
  <si>
    <t>tel.: +44 203-432-0834 (London, Uk)</t>
  </si>
  <si>
    <t>SKYPE: dmitriy.shyshkin</t>
  </si>
  <si>
    <t>Search Engine Optimization</t>
  </si>
  <si>
    <t>Web Design</t>
  </si>
  <si>
    <t>SEO PRICING</t>
  </si>
  <si>
    <t>WEB DESIGN AND DEVELOPMENT PRICING</t>
  </si>
  <si>
    <t>1. Starter package</t>
  </si>
  <si>
    <t>  Including:</t>
  </si>
  <si>
    <t>Estimated Cost</t>
  </si>
  <si>
    <t>included</t>
  </si>
  <si>
    <t>paid separately</t>
  </si>
  <si>
    <t>$5 for one page</t>
  </si>
  <si>
    <t>$4 for one page</t>
  </si>
  <si>
    <t>AAAAAG5v8x8=</t>
  </si>
  <si>
    <t>   Semantic kernel composing</t>
  </si>
  <si>
    <t>   Basic usability analysis</t>
  </si>
  <si>
    <t>   In-Site optimization</t>
  </si>
  <si>
    <t>   16 keyword phrases</t>
  </si>
  <si>
    <t>   Regular Reporting</t>
  </si>
  <si>
    <t>   Non-SEO related changes to website</t>
  </si>
  <si>
    <t>   PPC Campaign</t>
  </si>
  <si>
    <r>
      <t xml:space="preserve">Total cost* – </t>
    </r>
    <r>
      <rPr>
        <b/>
        <sz val="10"/>
        <color indexed="9"/>
        <rFont val="Arial Cyr"/>
        <family val="0"/>
      </rPr>
      <t>from $399</t>
    </r>
  </si>
  <si>
    <t>2. Corporate package</t>
  </si>
  <si>
    <t>   42 keyword phrases</t>
  </si>
  <si>
    <t>Minimal SEO order – only $399</t>
  </si>
  <si>
    <t>* – Cost is calculated based on analysis of you niche (for example keyword phrases “auto insurance”, “payday loans” are one of the most competitive)</t>
  </si>
  <si>
    <t>   Simple design</t>
  </si>
  <si>
    <t>   5 pages</t>
  </si>
  <si>
    <t>   Additional pages</t>
  </si>
  <si>
    <t>   Advanced administration panel</t>
  </si>
  <si>
    <t>   RSS Feed</t>
  </si>
  <si>
    <t>   Spam assassin</t>
  </si>
  <si>
    <t>   Advanced visual effects</t>
  </si>
  <si>
    <t>   20 pages</t>
  </si>
  <si>
    <t>   Objects with complex logic (like cost calculator )</t>
  </si>
  <si>
    <t>3. E-Commerce package</t>
  </si>
  <si>
    <t>   50 product pages</t>
  </si>
  <si>
    <t>   Great creative design</t>
  </si>
  <si>
    <t>   20 description pages</t>
  </si>
  <si>
    <t>   Creative design</t>
  </si>
  <si>
    <t>   Additional description pages</t>
  </si>
  <si>
    <t>   Additional product pages</t>
  </si>
  <si>
    <t>   Batch products upload</t>
  </si>
  <si>
    <r>
      <t xml:space="preserve">Total cost* – </t>
    </r>
    <r>
      <rPr>
        <b/>
        <sz val="10"/>
        <color indexed="9"/>
        <rFont val="Arial Cyr"/>
        <family val="0"/>
      </rPr>
      <t>from $950</t>
    </r>
  </si>
  <si>
    <r>
      <t xml:space="preserve">Estimated Cost – </t>
    </r>
    <r>
      <rPr>
        <b/>
        <sz val="10"/>
        <color indexed="9"/>
        <rFont val="Arial Cyr"/>
        <family val="0"/>
      </rPr>
      <t>from $399</t>
    </r>
  </si>
  <si>
    <r>
      <t xml:space="preserve">Total cost – </t>
    </r>
    <r>
      <rPr>
        <b/>
        <sz val="10"/>
        <color indexed="9"/>
        <rFont val="Arial Cyr"/>
        <family val="0"/>
      </rPr>
      <t>from $799</t>
    </r>
  </si>
  <si>
    <r>
      <t>Total cost –</t>
    </r>
    <r>
      <rPr>
        <b/>
        <sz val="10"/>
        <color indexed="9"/>
        <rFont val="Arial Cyr"/>
        <family val="0"/>
      </rPr>
      <t xml:space="preserve"> from $1199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</si>
</sst>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8"/>
      <name val="Arial Cyr"/>
      <family val="0"/>
    </font>
    <font>
      <b/>
      <sz val="12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shrinkToFi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shrinkToFi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2457450</xdr:colOff>
      <xdr:row>3</xdr:row>
      <xdr:rowOff>57150</xdr:rowOff>
    </xdr:from>
    <xdr:to>
      <xdr:col>0</xdr:col>
      <xdr:colOff>4581525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52450"/>
          <a:ext cx="2124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2352675</xdr:colOff>
      <xdr:row>48</xdr:row>
      <xdr:rowOff>76200</xdr:rowOff>
    </xdr:from>
    <xdr:to>
      <xdr:col>0</xdr:col>
      <xdr:colOff>4467225</xdr:colOff>
      <xdr:row>54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8877300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93"/>
  <sheetViews>
    <sheetView tabSelected="1" zoomScale="130" zoomScaleNormal="130" zoomScaleSheetLayoutView="130" zoomScalePageLayoutView="0" workbookViewId="0" topLeftCell="A73">
      <selection activeCell="C83" sqref="C83"/>
    </sheetView>
  </sheetViews>
  <sheetFormatPr defaultColWidth="9.00390625" defaultRowHeight="15" customHeight="1"/>
  <cols>
    <col min="1" max="1" width="63.25390625" style="0" customWidth="1"/>
    <col min="2" max="2" width="22.625" style="0" customWidth="1"/>
  </cols>
  <sheetData>
    <row r="1" spans="1:2" ht="18" customHeight="1">
      <c r="A1" s="28" t="s">
        <v>7</v>
      </c>
      <c r="B1" s="29"/>
    </row>
    <row r="2" ht="8.25" customHeight="1"/>
    <row r="3" spans="1:2" ht="12.75" customHeight="1">
      <c r="A3" s="2"/>
      <c r="B3" s="4"/>
    </row>
    <row r="4" spans="1:2" ht="12.75" customHeight="1">
      <c r="A4" s="7" t="s">
        <v>2</v>
      </c>
      <c r="B4" s="4"/>
    </row>
    <row r="5" spans="1:2" ht="12.75" customHeight="1">
      <c r="A5" s="7" t="s">
        <v>3</v>
      </c>
      <c r="B5" s="4"/>
    </row>
    <row r="6" ht="12.75" customHeight="1">
      <c r="B6" s="4"/>
    </row>
    <row r="7" spans="1:2" ht="12.75" customHeight="1">
      <c r="A7" s="7" t="s">
        <v>0</v>
      </c>
      <c r="B7" s="4"/>
    </row>
    <row r="8" spans="1:2" ht="12.75" customHeight="1">
      <c r="A8" s="7" t="s">
        <v>4</v>
      </c>
      <c r="B8" s="4"/>
    </row>
    <row r="9" spans="1:2" ht="12.75" customHeight="1">
      <c r="A9" s="7" t="s">
        <v>1</v>
      </c>
      <c r="B9" s="4"/>
    </row>
    <row r="10" spans="1:2" ht="12.75" customHeight="1">
      <c r="A10" s="2"/>
      <c r="B10" s="4"/>
    </row>
    <row r="11" spans="1:2" ht="12.75" customHeight="1">
      <c r="A11" s="2"/>
      <c r="B11" s="3"/>
    </row>
    <row r="12" spans="1:2" ht="15" customHeight="1">
      <c r="A12" s="8" t="s">
        <v>5</v>
      </c>
      <c r="B12" s="9"/>
    </row>
    <row r="13" spans="1:2" ht="15" customHeight="1">
      <c r="A13" s="13" t="s">
        <v>9</v>
      </c>
      <c r="B13" s="13"/>
    </row>
    <row r="14" spans="1:2" ht="15" customHeight="1">
      <c r="A14" s="14" t="s">
        <v>10</v>
      </c>
      <c r="B14" s="15" t="s">
        <v>11</v>
      </c>
    </row>
    <row r="15" spans="1:2" ht="15" customHeight="1">
      <c r="A15" s="16" t="s">
        <v>17</v>
      </c>
      <c r="B15" s="17" t="s">
        <v>12</v>
      </c>
    </row>
    <row r="16" spans="1:2" ht="15" customHeight="1">
      <c r="A16" s="18" t="s">
        <v>18</v>
      </c>
      <c r="B16" s="17" t="s">
        <v>12</v>
      </c>
    </row>
    <row r="17" spans="1:2" ht="15" customHeight="1">
      <c r="A17" s="18" t="s">
        <v>19</v>
      </c>
      <c r="B17" s="17" t="s">
        <v>12</v>
      </c>
    </row>
    <row r="18" spans="1:2" ht="15" customHeight="1">
      <c r="A18" s="18" t="s">
        <v>20</v>
      </c>
      <c r="B18" s="17" t="s">
        <v>12</v>
      </c>
    </row>
    <row r="19" spans="1:2" ht="15" customHeight="1">
      <c r="A19" s="18" t="s">
        <v>21</v>
      </c>
      <c r="B19" s="17" t="s">
        <v>12</v>
      </c>
    </row>
    <row r="20" spans="1:2" ht="15" customHeight="1">
      <c r="A20" s="18" t="s">
        <v>22</v>
      </c>
      <c r="B20" s="19" t="s">
        <v>13</v>
      </c>
    </row>
    <row r="21" spans="1:2" ht="15" customHeight="1">
      <c r="A21" s="18" t="s">
        <v>23</v>
      </c>
      <c r="B21" s="19" t="s">
        <v>13</v>
      </c>
    </row>
    <row r="22" spans="1:2" ht="15" customHeight="1">
      <c r="A22" s="20" t="s">
        <v>24</v>
      </c>
      <c r="B22" s="20"/>
    </row>
    <row r="23" spans="1:2" ht="7.5" customHeight="1">
      <c r="A23" s="10"/>
      <c r="B23" s="11"/>
    </row>
    <row r="24" spans="1:2" ht="15" customHeight="1">
      <c r="A24" s="21" t="s">
        <v>25</v>
      </c>
      <c r="B24" s="22"/>
    </row>
    <row r="25" spans="1:2" ht="15" customHeight="1">
      <c r="A25" s="14" t="s">
        <v>10</v>
      </c>
      <c r="B25" s="15" t="s">
        <v>11</v>
      </c>
    </row>
    <row r="26" spans="1:2" ht="15" customHeight="1">
      <c r="A26" s="16" t="s">
        <v>17</v>
      </c>
      <c r="B26" s="23" t="s">
        <v>12</v>
      </c>
    </row>
    <row r="27" spans="1:2" ht="15" customHeight="1">
      <c r="A27" s="18" t="s">
        <v>18</v>
      </c>
      <c r="B27" s="24" t="s">
        <v>12</v>
      </c>
    </row>
    <row r="28" spans="1:2" ht="15" customHeight="1">
      <c r="A28" s="18" t="s">
        <v>19</v>
      </c>
      <c r="B28" s="24" t="s">
        <v>12</v>
      </c>
    </row>
    <row r="29" spans="1:2" ht="15" customHeight="1">
      <c r="A29" s="18" t="s">
        <v>26</v>
      </c>
      <c r="B29" s="25" t="s">
        <v>12</v>
      </c>
    </row>
    <row r="30" spans="1:2" ht="15" customHeight="1">
      <c r="A30" s="18" t="s">
        <v>21</v>
      </c>
      <c r="B30" s="17" t="s">
        <v>12</v>
      </c>
    </row>
    <row r="31" spans="1:2" ht="15" customHeight="1">
      <c r="A31" s="18" t="s">
        <v>22</v>
      </c>
      <c r="B31" s="19" t="s">
        <v>13</v>
      </c>
    </row>
    <row r="32" spans="1:2" ht="15" customHeight="1">
      <c r="A32" s="18" t="s">
        <v>23</v>
      </c>
      <c r="B32" s="19" t="s">
        <v>13</v>
      </c>
    </row>
    <row r="33" spans="1:2" ht="15" customHeight="1">
      <c r="A33" s="26" t="s">
        <v>46</v>
      </c>
      <c r="B33" s="27"/>
    </row>
    <row r="35" spans="1:2" ht="15" customHeight="1">
      <c r="A35" s="6" t="s">
        <v>27</v>
      </c>
      <c r="B35" s="6"/>
    </row>
    <row r="37" spans="1:2" ht="37.5" customHeight="1">
      <c r="A37" s="5" t="s">
        <v>28</v>
      </c>
      <c r="B37" s="5"/>
    </row>
    <row r="38" spans="1:2" ht="13.5" customHeight="1">
      <c r="A38" s="1"/>
      <c r="B38" s="1"/>
    </row>
    <row r="39" spans="1:2" ht="13.5" customHeight="1">
      <c r="A39" s="1"/>
      <c r="B39" s="1"/>
    </row>
    <row r="40" spans="1:2" ht="13.5" customHeight="1">
      <c r="A40" s="1"/>
      <c r="B40" s="1"/>
    </row>
    <row r="41" spans="1:2" ht="13.5" customHeight="1">
      <c r="A41" s="1"/>
      <c r="B41" s="1"/>
    </row>
    <row r="42" spans="1:2" ht="12" customHeight="1">
      <c r="A42" s="1"/>
      <c r="B42" s="1"/>
    </row>
    <row r="43" spans="1:2" ht="12.75" customHeight="1">
      <c r="A43" s="1"/>
      <c r="B43" s="1"/>
    </row>
    <row r="44" spans="1:2" ht="12.75" customHeight="1">
      <c r="A44" s="1"/>
      <c r="B44" s="1"/>
    </row>
    <row r="45" spans="1:2" ht="12.75" customHeight="1">
      <c r="A45" s="1"/>
      <c r="B45" s="1"/>
    </row>
    <row r="46" spans="1:2" ht="12.75" customHeight="1">
      <c r="A46" s="1"/>
      <c r="B46" s="1"/>
    </row>
    <row r="47" spans="1:2" ht="18" customHeight="1">
      <c r="A47" s="28" t="s">
        <v>8</v>
      </c>
      <c r="B47" s="29"/>
    </row>
    <row r="48" ht="12" customHeight="1"/>
    <row r="49" ht="12" customHeight="1">
      <c r="A49" s="7" t="s">
        <v>2</v>
      </c>
    </row>
    <row r="50" ht="12" customHeight="1">
      <c r="A50" s="7" t="s">
        <v>3</v>
      </c>
    </row>
    <row r="51" ht="12" customHeight="1"/>
    <row r="52" ht="12" customHeight="1">
      <c r="A52" s="7" t="s">
        <v>0</v>
      </c>
    </row>
    <row r="53" ht="12" customHeight="1">
      <c r="A53" s="7" t="s">
        <v>4</v>
      </c>
    </row>
    <row r="54" ht="12" customHeight="1">
      <c r="A54" s="7" t="s">
        <v>1</v>
      </c>
    </row>
    <row r="55" ht="12" customHeight="1">
      <c r="A55" s="7"/>
    </row>
    <row r="56" ht="7.5" customHeight="1"/>
    <row r="57" spans="1:2" ht="15" customHeight="1">
      <c r="A57" s="8" t="s">
        <v>6</v>
      </c>
      <c r="B57" s="9"/>
    </row>
    <row r="58" spans="1:2" ht="15" customHeight="1">
      <c r="A58" s="13" t="s">
        <v>9</v>
      </c>
      <c r="B58" s="13"/>
    </row>
    <row r="59" spans="1:2" ht="11.25" customHeight="1">
      <c r="A59" s="14" t="s">
        <v>10</v>
      </c>
      <c r="B59" s="15" t="s">
        <v>11</v>
      </c>
    </row>
    <row r="60" spans="1:2" ht="15" customHeight="1">
      <c r="A60" s="12" t="s">
        <v>29</v>
      </c>
      <c r="B60" s="17" t="s">
        <v>12</v>
      </c>
    </row>
    <row r="61" spans="1:2" ht="15" customHeight="1">
      <c r="A61" s="12" t="s">
        <v>30</v>
      </c>
      <c r="B61" s="17" t="s">
        <v>12</v>
      </c>
    </row>
    <row r="62" spans="1:2" ht="15" customHeight="1">
      <c r="A62" s="12" t="s">
        <v>31</v>
      </c>
      <c r="B62" s="17" t="s">
        <v>14</v>
      </c>
    </row>
    <row r="63" spans="1:2" ht="15" customHeight="1">
      <c r="A63" s="12" t="s">
        <v>32</v>
      </c>
      <c r="B63" s="17" t="s">
        <v>12</v>
      </c>
    </row>
    <row r="64" spans="1:2" ht="15" customHeight="1">
      <c r="A64" s="12" t="s">
        <v>33</v>
      </c>
      <c r="B64" s="17" t="s">
        <v>12</v>
      </c>
    </row>
    <row r="65" spans="1:2" ht="15" customHeight="1">
      <c r="A65" s="12" t="s">
        <v>34</v>
      </c>
      <c r="B65" s="17" t="s">
        <v>12</v>
      </c>
    </row>
    <row r="66" spans="1:2" ht="15" customHeight="1">
      <c r="A66" s="20" t="s">
        <v>47</v>
      </c>
      <c r="B66" s="20"/>
    </row>
    <row r="67" spans="1:2" ht="7.5" customHeight="1">
      <c r="A67" s="10"/>
      <c r="B67" s="11"/>
    </row>
    <row r="68" spans="1:2" ht="12.75" customHeight="1">
      <c r="A68" s="21" t="s">
        <v>25</v>
      </c>
      <c r="B68" s="22"/>
    </row>
    <row r="69" spans="1:2" ht="12" customHeight="1">
      <c r="A69" s="14" t="s">
        <v>10</v>
      </c>
      <c r="B69" s="15" t="s">
        <v>11</v>
      </c>
    </row>
    <row r="70" spans="1:2" ht="15" customHeight="1">
      <c r="A70" s="12" t="s">
        <v>42</v>
      </c>
      <c r="B70" s="17" t="s">
        <v>12</v>
      </c>
    </row>
    <row r="71" spans="1:2" ht="15" customHeight="1">
      <c r="A71" s="12" t="s">
        <v>36</v>
      </c>
      <c r="B71" s="17" t="s">
        <v>12</v>
      </c>
    </row>
    <row r="72" spans="1:2" ht="15" customHeight="1">
      <c r="A72" s="12" t="s">
        <v>31</v>
      </c>
      <c r="B72" s="17" t="s">
        <v>14</v>
      </c>
    </row>
    <row r="73" spans="1:2" ht="15" customHeight="1">
      <c r="A73" s="12" t="s">
        <v>32</v>
      </c>
      <c r="B73" s="17" t="s">
        <v>12</v>
      </c>
    </row>
    <row r="74" spans="1:2" ht="15" customHeight="1">
      <c r="A74" s="12" t="s">
        <v>35</v>
      </c>
      <c r="B74" s="19" t="s">
        <v>13</v>
      </c>
    </row>
    <row r="75" spans="1:2" ht="15" customHeight="1">
      <c r="A75" s="12" t="s">
        <v>37</v>
      </c>
      <c r="B75" s="19" t="s">
        <v>13</v>
      </c>
    </row>
    <row r="76" spans="1:2" ht="15" customHeight="1">
      <c r="A76" s="12" t="s">
        <v>33</v>
      </c>
      <c r="B76" s="17" t="s">
        <v>12</v>
      </c>
    </row>
    <row r="77" spans="1:2" ht="15" customHeight="1">
      <c r="A77" s="12" t="s">
        <v>34</v>
      </c>
      <c r="B77" s="17" t="s">
        <v>12</v>
      </c>
    </row>
    <row r="78" spans="1:2" ht="15" customHeight="1">
      <c r="A78" s="20" t="s">
        <v>48</v>
      </c>
      <c r="B78" s="20"/>
    </row>
    <row r="79" spans="1:2" ht="7.5" customHeight="1">
      <c r="A79" s="30"/>
      <c r="B79" s="31"/>
    </row>
    <row r="80" spans="1:2" ht="15" customHeight="1">
      <c r="A80" s="21" t="s">
        <v>38</v>
      </c>
      <c r="B80" s="22"/>
    </row>
    <row r="81" spans="1:2" ht="12" customHeight="1">
      <c r="A81" s="14" t="s">
        <v>10</v>
      </c>
      <c r="B81" s="15" t="s">
        <v>11</v>
      </c>
    </row>
    <row r="82" spans="1:2" ht="15" customHeight="1">
      <c r="A82" s="12" t="s">
        <v>40</v>
      </c>
      <c r="B82" s="17" t="s">
        <v>12</v>
      </c>
    </row>
    <row r="83" spans="1:2" ht="15" customHeight="1">
      <c r="A83" s="12" t="s">
        <v>41</v>
      </c>
      <c r="B83" s="17" t="s">
        <v>12</v>
      </c>
    </row>
    <row r="84" spans="1:2" ht="15" customHeight="1">
      <c r="A84" s="12" t="s">
        <v>39</v>
      </c>
      <c r="B84" s="17" t="s">
        <v>12</v>
      </c>
    </row>
    <row r="85" spans="1:2" ht="15" customHeight="1">
      <c r="A85" s="12" t="s">
        <v>43</v>
      </c>
      <c r="B85" s="17" t="s">
        <v>14</v>
      </c>
    </row>
    <row r="86" spans="1:2" ht="15" customHeight="1">
      <c r="A86" s="12" t="s">
        <v>44</v>
      </c>
      <c r="B86" s="17" t="s">
        <v>15</v>
      </c>
    </row>
    <row r="87" spans="1:2" ht="15" customHeight="1">
      <c r="A87" s="12" t="s">
        <v>45</v>
      </c>
      <c r="B87" s="17" t="s">
        <v>12</v>
      </c>
    </row>
    <row r="88" spans="1:2" ht="15" customHeight="1">
      <c r="A88" s="12" t="s">
        <v>32</v>
      </c>
      <c r="B88" s="17" t="s">
        <v>12</v>
      </c>
    </row>
    <row r="89" spans="1:2" ht="15" customHeight="1">
      <c r="A89" s="12" t="s">
        <v>35</v>
      </c>
      <c r="B89" s="19" t="s">
        <v>13</v>
      </c>
    </row>
    <row r="90" spans="1:2" ht="15" customHeight="1">
      <c r="A90" s="12" t="s">
        <v>37</v>
      </c>
      <c r="B90" s="19" t="s">
        <v>13</v>
      </c>
    </row>
    <row r="91" spans="1:2" ht="15" customHeight="1">
      <c r="A91" s="12" t="s">
        <v>33</v>
      </c>
      <c r="B91" s="17" t="s">
        <v>12</v>
      </c>
    </row>
    <row r="92" spans="1:2" ht="15" customHeight="1">
      <c r="A92" s="12" t="s">
        <v>34</v>
      </c>
      <c r="B92" s="17" t="s">
        <v>12</v>
      </c>
    </row>
    <row r="93" spans="1:2" ht="15" customHeight="1">
      <c r="A93" s="32" t="s">
        <v>49</v>
      </c>
      <c r="B93" s="27"/>
    </row>
  </sheetData>
  <sheetProtection/>
  <mergeCells count="19">
    <mergeCell ref="A79:B79"/>
    <mergeCell ref="A80:B80"/>
    <mergeCell ref="A93:B93"/>
    <mergeCell ref="A1:B1"/>
    <mergeCell ref="A35:B35"/>
    <mergeCell ref="A66:B66"/>
    <mergeCell ref="A67:B67"/>
    <mergeCell ref="A68:B68"/>
    <mergeCell ref="A78:B78"/>
    <mergeCell ref="A24:B24"/>
    <mergeCell ref="A57:B57"/>
    <mergeCell ref="A58:B58"/>
    <mergeCell ref="A37:B37"/>
    <mergeCell ref="A12:B12"/>
    <mergeCell ref="A13:B13"/>
    <mergeCell ref="A22:B22"/>
    <mergeCell ref="A23:B23"/>
    <mergeCell ref="A47:B47"/>
    <mergeCell ref="A33:B33"/>
  </mergeCells>
  <printOptions/>
  <pageMargins left="0.75" right="0.75" top="1" bottom="1" header="0.5" footer="0.5"/>
  <pageSetup horizontalDpi="200" verticalDpi="200" orientation="portrait" r:id="rId2"/>
  <customProperties>
    <customPr name="DVSECTION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3"/>
  <sheetViews>
    <sheetView zoomScalePageLayoutView="0" workbookViewId="0" topLeftCell="A1">
      <selection activeCell="AF2" sqref="AF2"/>
    </sheetView>
  </sheetViews>
  <sheetFormatPr defaultColWidth="9.00390625" defaultRowHeight="12.75"/>
  <sheetData>
    <row r="1" spans="1:256" ht="12.75">
      <c r="A1" t="e">
        <f>IF(Лист1!1:1,"AAAAAC+//wA=",0)</f>
        <v>#VALUE!</v>
      </c>
      <c r="B1" t="e">
        <f>AND(Лист1!A1,"AAAAAC+//wE=")</f>
        <v>#VALUE!</v>
      </c>
      <c r="C1" t="e">
        <f>AND(Лист1!B1,"AAAAAC+//wI=")</f>
        <v>#VALUE!</v>
      </c>
      <c r="D1">
        <f>IF(Лист1!2:2,"AAAAAC+//wM=",0)</f>
        <v>0</v>
      </c>
      <c r="E1" t="e">
        <f>AND(Лист1!A2,"AAAAAC+//wQ=")</f>
        <v>#VALUE!</v>
      </c>
      <c r="F1" t="e">
        <f>AND(Лист1!B2,"AAAAAC+//wU=")</f>
        <v>#VALUE!</v>
      </c>
      <c r="G1">
        <f>IF(Лист1!3:3,"AAAAAC+//wY=",0)</f>
        <v>0</v>
      </c>
      <c r="H1" t="e">
        <f>AND(Лист1!A3,"AAAAAC+//wc=")</f>
        <v>#VALUE!</v>
      </c>
      <c r="I1" t="e">
        <f>AND(Лист1!B3,"AAAAAC+//wg=")</f>
        <v>#VALUE!</v>
      </c>
      <c r="J1">
        <f>IF(Лист1!4:4,"AAAAAC+//wk=",0)</f>
        <v>0</v>
      </c>
      <c r="K1" t="e">
        <f>AND(Лист1!A4,"AAAAAC+//wo=")</f>
        <v>#VALUE!</v>
      </c>
      <c r="L1" t="e">
        <f>AND(Лист1!B4,"AAAAAC+//ws=")</f>
        <v>#VALUE!</v>
      </c>
      <c r="M1">
        <f>IF(Лист1!5:5,"AAAAAC+//ww=",0)</f>
        <v>0</v>
      </c>
      <c r="N1" t="e">
        <f>AND(Лист1!A5,"AAAAAC+//w0=")</f>
        <v>#VALUE!</v>
      </c>
      <c r="O1" t="e">
        <f>AND(Лист1!B5,"AAAAAC+//w4=")</f>
        <v>#VALUE!</v>
      </c>
      <c r="P1">
        <f>IF(Лист1!6:6,"AAAAAC+//w8=",0)</f>
        <v>0</v>
      </c>
      <c r="Q1" t="e">
        <f>AND(Лист1!A6,"AAAAAC+//xA=")</f>
        <v>#VALUE!</v>
      </c>
      <c r="R1" t="e">
        <f>AND(Лист1!B6,"AAAAAC+//xE=")</f>
        <v>#VALUE!</v>
      </c>
      <c r="S1">
        <f>IF(Лист1!7:7,"AAAAAC+//xI=",0)</f>
        <v>0</v>
      </c>
      <c r="T1" t="e">
        <f>AND(Лист1!A7,"AAAAAC+//xM=")</f>
        <v>#VALUE!</v>
      </c>
      <c r="U1" t="e">
        <f>AND(Лист1!B7,"AAAAAC+//xQ=")</f>
        <v>#VALUE!</v>
      </c>
      <c r="V1">
        <f>IF(Лист1!8:8,"AAAAAC+//xU=",0)</f>
        <v>0</v>
      </c>
      <c r="W1" t="e">
        <f>AND(Лист1!A8,"AAAAAC+//xY=")</f>
        <v>#VALUE!</v>
      </c>
      <c r="X1" t="e">
        <f>AND(Лист1!B8,"AAAAAC+//xc=")</f>
        <v>#VALUE!</v>
      </c>
      <c r="Y1">
        <f>IF(Лист1!9:9,"AAAAAC+//xg=",0)</f>
        <v>0</v>
      </c>
      <c r="Z1" t="e">
        <f>AND(Лист1!A9,"AAAAAC+//xk=")</f>
        <v>#VALUE!</v>
      </c>
      <c r="AA1" t="e">
        <f>AND(Лист1!B9,"AAAAAC+//xo=")</f>
        <v>#VALUE!</v>
      </c>
      <c r="AB1">
        <f>IF(Лист1!10:10,"AAAAAC+//xs=",0)</f>
        <v>0</v>
      </c>
      <c r="AC1" t="e">
        <f>AND(Лист1!A10,"AAAAAC+//xw=")</f>
        <v>#VALUE!</v>
      </c>
      <c r="AD1" t="e">
        <f>AND(Лист1!B10,"AAAAAC+//x0=")</f>
        <v>#VALUE!</v>
      </c>
      <c r="AE1">
        <f>IF(Лист1!11:11,"AAAAAC+//x4=",0)</f>
        <v>0</v>
      </c>
      <c r="AF1" t="e">
        <f>AND(Лист1!A11,"AAAAAC+//x8=")</f>
        <v>#VALUE!</v>
      </c>
      <c r="AG1" t="e">
        <f>AND(Лист1!B11,"AAAAAC+//yA=")</f>
        <v>#VALUE!</v>
      </c>
      <c r="AH1">
        <f>IF(Лист1!12:12,"AAAAAC+//yE=",0)</f>
        <v>0</v>
      </c>
      <c r="AI1" t="e">
        <f>AND(Лист1!A12,"AAAAAC+//yI=")</f>
        <v>#VALUE!</v>
      </c>
      <c r="AJ1" t="e">
        <f>AND(Лист1!B12,"AAAAAC+//yM=")</f>
        <v>#VALUE!</v>
      </c>
      <c r="AK1">
        <f>IF(Лист1!13:13,"AAAAAC+//yQ=",0)</f>
        <v>0</v>
      </c>
      <c r="AL1" t="e">
        <f>AND(Лист1!A13,"AAAAAC+//yU=")</f>
        <v>#VALUE!</v>
      </c>
      <c r="AM1" t="e">
        <f>AND(Лист1!B13,"AAAAAC+//yY=")</f>
        <v>#VALUE!</v>
      </c>
      <c r="AN1">
        <f>IF(Лист1!14:14,"AAAAAC+//yc=",0)</f>
        <v>0</v>
      </c>
      <c r="AO1" t="e">
        <f>AND(Лист1!A14,"AAAAAC+//yg=")</f>
        <v>#VALUE!</v>
      </c>
      <c r="AP1" t="e">
        <f>AND(Лист1!B14,"AAAAAC+//yk=")</f>
        <v>#VALUE!</v>
      </c>
      <c r="AQ1">
        <f>IF(Лист1!15:15,"AAAAAC+//yo=",0)</f>
        <v>0</v>
      </c>
      <c r="AR1" t="e">
        <f>AND(Лист1!A15,"AAAAAC+//ys=")</f>
        <v>#VALUE!</v>
      </c>
      <c r="AS1" t="e">
        <f>AND(Лист1!B15,"AAAAAC+//yw=")</f>
        <v>#VALUE!</v>
      </c>
      <c r="AT1">
        <f>IF(Лист1!16:16,"AAAAAC+//y0=",0)</f>
        <v>0</v>
      </c>
      <c r="AU1" t="e">
        <f>AND(Лист1!A16,"AAAAAC+//y4=")</f>
        <v>#VALUE!</v>
      </c>
      <c r="AV1" t="e">
        <f>AND(Лист1!B16,"AAAAAC+//y8=")</f>
        <v>#VALUE!</v>
      </c>
      <c r="AW1">
        <f>IF(Лист1!17:17,"AAAAAC+//zA=",0)</f>
        <v>0</v>
      </c>
      <c r="AX1" t="e">
        <f>AND(Лист1!A17,"AAAAAC+//zE=")</f>
        <v>#VALUE!</v>
      </c>
      <c r="AY1" t="e">
        <f>AND(Лист1!B17,"AAAAAC+//zI=")</f>
        <v>#VALUE!</v>
      </c>
      <c r="AZ1">
        <f>IF(Лист1!18:18,"AAAAAC+//zM=",0)</f>
        <v>0</v>
      </c>
      <c r="BA1" t="e">
        <f>AND(Лист1!A18,"AAAAAC+//zQ=")</f>
        <v>#VALUE!</v>
      </c>
      <c r="BB1" t="e">
        <f>AND(Лист1!B18,"AAAAAC+//zU=")</f>
        <v>#VALUE!</v>
      </c>
      <c r="BC1">
        <f>IF(Лист1!19:19,"AAAAAC+//zY=",0)</f>
        <v>0</v>
      </c>
      <c r="BD1" t="e">
        <f>AND(Лист1!A19,"AAAAAC+//zc=")</f>
        <v>#VALUE!</v>
      </c>
      <c r="BE1" t="e">
        <f>AND(Лист1!B19,"AAAAAC+//zg=")</f>
        <v>#VALUE!</v>
      </c>
      <c r="BF1">
        <f>IF(Лист1!20:20,"AAAAAC+//zk=",0)</f>
        <v>0</v>
      </c>
      <c r="BG1" t="e">
        <f>AND(Лист1!A20,"AAAAAC+//zo=")</f>
        <v>#VALUE!</v>
      </c>
      <c r="BH1" t="e">
        <f>AND(Лист1!B20,"AAAAAC+//zs=")</f>
        <v>#VALUE!</v>
      </c>
      <c r="BI1">
        <f>IF(Лист1!21:21,"AAAAAC+//zw=",0)</f>
        <v>0</v>
      </c>
      <c r="BJ1" t="e">
        <f>AND(Лист1!A21,"AAAAAC+//z0=")</f>
        <v>#VALUE!</v>
      </c>
      <c r="BK1" t="e">
        <f>AND(Лист1!B21,"AAAAAC+//z4=")</f>
        <v>#VALUE!</v>
      </c>
      <c r="BL1">
        <f>IF(Лист1!22:22,"AAAAAC+//z8=",0)</f>
        <v>0</v>
      </c>
      <c r="BM1" t="e">
        <f>AND(Лист1!A22,"AAAAAC+//0A=")</f>
        <v>#VALUE!</v>
      </c>
      <c r="BN1" t="e">
        <f>AND(Лист1!B22,"AAAAAC+//0E=")</f>
        <v>#VALUE!</v>
      </c>
      <c r="BO1">
        <f>IF(Лист1!23:23,"AAAAAC+//0I=",0)</f>
        <v>0</v>
      </c>
      <c r="BP1" t="e">
        <f>AND(Лист1!A23,"AAAAAC+//0M=")</f>
        <v>#VALUE!</v>
      </c>
      <c r="BQ1" t="e">
        <f>AND(Лист1!B23,"AAAAAC+//0Q=")</f>
        <v>#VALUE!</v>
      </c>
      <c r="BR1">
        <f>IF(Лист1!24:24,"AAAAAC+//0U=",0)</f>
        <v>0</v>
      </c>
      <c r="BS1" t="e">
        <f>AND(Лист1!A24,"AAAAAC+//0Y=")</f>
        <v>#VALUE!</v>
      </c>
      <c r="BT1" t="e">
        <f>AND(Лист1!B24,"AAAAAC+//0c=")</f>
        <v>#VALUE!</v>
      </c>
      <c r="BU1">
        <f>IF(Лист1!25:25,"AAAAAC+//0g=",0)</f>
        <v>0</v>
      </c>
      <c r="BV1" t="e">
        <f>AND(Лист1!A25,"AAAAAC+//0k=")</f>
        <v>#VALUE!</v>
      </c>
      <c r="BW1" t="e">
        <f>AND(Лист1!B25,"AAAAAC+//0o=")</f>
        <v>#VALUE!</v>
      </c>
      <c r="BX1">
        <f>IF(Лист1!26:26,"AAAAAC+//0s=",0)</f>
        <v>0</v>
      </c>
      <c r="BY1" t="e">
        <f>AND(Лист1!A26,"AAAAAC+//0w=")</f>
        <v>#VALUE!</v>
      </c>
      <c r="BZ1" t="e">
        <f>AND(Лист1!B26,"AAAAAC+//00=")</f>
        <v>#VALUE!</v>
      </c>
      <c r="CA1">
        <f>IF(Лист1!27:27,"AAAAAC+//04=",0)</f>
        <v>0</v>
      </c>
      <c r="CB1" t="e">
        <f>AND(Лист1!A27,"AAAAAC+//08=")</f>
        <v>#VALUE!</v>
      </c>
      <c r="CC1" t="e">
        <f>AND(Лист1!B27,"AAAAAC+//1A=")</f>
        <v>#VALUE!</v>
      </c>
      <c r="CD1">
        <f>IF(Лист1!28:28,"AAAAAC+//1E=",0)</f>
        <v>0</v>
      </c>
      <c r="CE1" t="e">
        <f>AND(Лист1!A28,"AAAAAC+//1I=")</f>
        <v>#VALUE!</v>
      </c>
      <c r="CF1" t="e">
        <f>AND(Лист1!B28,"AAAAAC+//1M=")</f>
        <v>#VALUE!</v>
      </c>
      <c r="CG1">
        <f>IF(Лист1!29:29,"AAAAAC+//1Q=",0)</f>
        <v>0</v>
      </c>
      <c r="CH1" t="e">
        <f>AND(Лист1!A29,"AAAAAC+//1U=")</f>
        <v>#VALUE!</v>
      </c>
      <c r="CI1" t="e">
        <f>AND(Лист1!B29,"AAAAAC+//1Y=")</f>
        <v>#VALUE!</v>
      </c>
      <c r="CJ1">
        <f>IF(Лист1!30:30,"AAAAAC+//1c=",0)</f>
        <v>0</v>
      </c>
      <c r="CK1" t="e">
        <f>AND(Лист1!A30,"AAAAAC+//1g=")</f>
        <v>#VALUE!</v>
      </c>
      <c r="CL1" t="e">
        <f>AND(Лист1!B30,"AAAAAC+//1k=")</f>
        <v>#VALUE!</v>
      </c>
      <c r="CM1">
        <f>IF(Лист1!31:31,"AAAAAC+//1o=",0)</f>
        <v>0</v>
      </c>
      <c r="CN1" t="e">
        <f>AND(Лист1!A31,"AAAAAC+//1s=")</f>
        <v>#VALUE!</v>
      </c>
      <c r="CO1" t="e">
        <f>AND(Лист1!B31,"AAAAAC+//1w=")</f>
        <v>#VALUE!</v>
      </c>
      <c r="CP1">
        <f>IF(Лист1!32:32,"AAAAAC+//10=",0)</f>
        <v>0</v>
      </c>
      <c r="CQ1" t="e">
        <f>AND(Лист1!A32,"AAAAAC+//14=")</f>
        <v>#VALUE!</v>
      </c>
      <c r="CR1" t="e">
        <f>AND(Лист1!B32,"AAAAAC+//18=")</f>
        <v>#VALUE!</v>
      </c>
      <c r="CS1">
        <f>IF(Лист1!33:33,"AAAAAC+//2A=",0)</f>
        <v>0</v>
      </c>
      <c r="CT1" t="e">
        <f>AND(Лист1!A33,"AAAAAC+//2E=")</f>
        <v>#VALUE!</v>
      </c>
      <c r="CU1" t="e">
        <f>AND(Лист1!B33,"AAAAAC+//2I=")</f>
        <v>#VALUE!</v>
      </c>
      <c r="CV1">
        <f>IF(Лист1!34:34,"AAAAAC+//2M=",0)</f>
        <v>0</v>
      </c>
      <c r="CW1" t="e">
        <f>AND(Лист1!A34,"AAAAAC+//2Q=")</f>
        <v>#VALUE!</v>
      </c>
      <c r="CX1" t="e">
        <f>AND(Лист1!B34,"AAAAAC+//2U=")</f>
        <v>#VALUE!</v>
      </c>
      <c r="CY1">
        <f>IF(Лист1!35:35,"AAAAAC+//2Y=",0)</f>
        <v>0</v>
      </c>
      <c r="CZ1" t="e">
        <f>AND(Лист1!A35,"AAAAAC+//2c=")</f>
        <v>#VALUE!</v>
      </c>
      <c r="DA1" t="e">
        <f>AND(Лист1!B35,"AAAAAC+//2g=")</f>
        <v>#VALUE!</v>
      </c>
      <c r="DB1">
        <f>IF(Лист1!36:36,"AAAAAC+//2k=",0)</f>
        <v>0</v>
      </c>
      <c r="DC1" t="e">
        <f>AND(Лист1!A36,"AAAAAC+//2o=")</f>
        <v>#VALUE!</v>
      </c>
      <c r="DD1" t="e">
        <f>AND(Лист1!B36,"AAAAAC+//2s=")</f>
        <v>#VALUE!</v>
      </c>
      <c r="DE1">
        <f>IF(Лист1!37:37,"AAAAAC+//2w=",0)</f>
        <v>0</v>
      </c>
      <c r="DF1" t="e">
        <f>AND(Лист1!A37,"AAAAAC+//20=")</f>
        <v>#VALUE!</v>
      </c>
      <c r="DG1" t="e">
        <f>AND(Лист1!B37,"AAAAAC+//24=")</f>
        <v>#VALUE!</v>
      </c>
      <c r="DH1">
        <f>IF(Лист1!38:38,"AAAAAC+//28=",0)</f>
        <v>0</v>
      </c>
      <c r="DI1" t="e">
        <f>AND(Лист1!A38,"AAAAAC+//3A=")</f>
        <v>#VALUE!</v>
      </c>
      <c r="DJ1" t="e">
        <f>AND(Лист1!B38,"AAAAAC+//3E=")</f>
        <v>#VALUE!</v>
      </c>
      <c r="DK1">
        <f>IF(Лист1!39:39,"AAAAAC+//3I=",0)</f>
        <v>0</v>
      </c>
      <c r="DL1" t="e">
        <f>AND(Лист1!A39,"AAAAAC+//3M=")</f>
        <v>#VALUE!</v>
      </c>
      <c r="DM1" t="e">
        <f>AND(Лист1!B39,"AAAAAC+//3Q=")</f>
        <v>#VALUE!</v>
      </c>
      <c r="DN1">
        <f>IF(Лист1!40:40,"AAAAAC+//3U=",0)</f>
        <v>0</v>
      </c>
      <c r="DO1" t="e">
        <f>AND(Лист1!A40,"AAAAAC+//3Y=")</f>
        <v>#VALUE!</v>
      </c>
      <c r="DP1" t="e">
        <f>AND(Лист1!B40,"AAAAAC+//3c=")</f>
        <v>#VALUE!</v>
      </c>
      <c r="DQ1">
        <f>IF(Лист1!41:41,"AAAAAC+//3g=",0)</f>
        <v>0</v>
      </c>
      <c r="DR1" t="e">
        <f>AND(Лист1!A41,"AAAAAC+//3k=")</f>
        <v>#VALUE!</v>
      </c>
      <c r="DS1" t="e">
        <f>AND(Лист1!B41,"AAAAAC+//3o=")</f>
        <v>#VALUE!</v>
      </c>
      <c r="DT1">
        <f>IF(Лист1!42:42,"AAAAAC+//3s=",0)</f>
        <v>0</v>
      </c>
      <c r="DU1" t="e">
        <f>AND(Лист1!A42,"AAAAAC+//3w=")</f>
        <v>#VALUE!</v>
      </c>
      <c r="DV1" t="e">
        <f>AND(Лист1!B42,"AAAAAC+//30=")</f>
        <v>#VALUE!</v>
      </c>
      <c r="DW1">
        <f>IF(Лист1!43:43,"AAAAAC+//34=",0)</f>
        <v>0</v>
      </c>
      <c r="DX1" t="e">
        <f>AND(Лист1!A43,"AAAAAC+//38=")</f>
        <v>#VALUE!</v>
      </c>
      <c r="DY1" t="e">
        <f>AND(Лист1!B43,"AAAAAC+//4A=")</f>
        <v>#VALUE!</v>
      </c>
      <c r="DZ1">
        <f>IF(Лист1!44:44,"AAAAAC+//4E=",0)</f>
        <v>0</v>
      </c>
      <c r="EA1" t="e">
        <f>AND(Лист1!A44,"AAAAAC+//4I=")</f>
        <v>#VALUE!</v>
      </c>
      <c r="EB1" t="e">
        <f>AND(Лист1!B44,"AAAAAC+//4M=")</f>
        <v>#VALUE!</v>
      </c>
      <c r="EC1">
        <f>IF(Лист1!45:45,"AAAAAC+//4Q=",0)</f>
        <v>0</v>
      </c>
      <c r="ED1" t="e">
        <f>AND(Лист1!A45,"AAAAAC+//4U=")</f>
        <v>#VALUE!</v>
      </c>
      <c r="EE1" t="e">
        <f>AND(Лист1!B45,"AAAAAC+//4Y=")</f>
        <v>#VALUE!</v>
      </c>
      <c r="EF1">
        <f>IF(Лист1!46:46,"AAAAAC+//4c=",0)</f>
        <v>0</v>
      </c>
      <c r="EG1" t="e">
        <f>AND(Лист1!A46,"AAAAAC+//4g=")</f>
        <v>#VALUE!</v>
      </c>
      <c r="EH1" t="e">
        <f>AND(Лист1!B46,"AAAAAC+//4k=")</f>
        <v>#VALUE!</v>
      </c>
      <c r="EI1">
        <f>IF(Лист1!47:47,"AAAAAC+//4o=",0)</f>
        <v>0</v>
      </c>
      <c r="EJ1" t="e">
        <f>AND(Лист1!A47,"AAAAAC+//4s=")</f>
        <v>#VALUE!</v>
      </c>
      <c r="EK1" t="e">
        <f>AND(Лист1!B47,"AAAAAC+//4w=")</f>
        <v>#VALUE!</v>
      </c>
      <c r="EL1">
        <f>IF(Лист1!48:48,"AAAAAC+//40=",0)</f>
        <v>0</v>
      </c>
      <c r="EM1" t="e">
        <f>AND(Лист1!A48,"AAAAAC+//44=")</f>
        <v>#VALUE!</v>
      </c>
      <c r="EN1" t="e">
        <f>AND(Лист1!B48,"AAAAAC+//48=")</f>
        <v>#VALUE!</v>
      </c>
      <c r="EO1">
        <f>IF(Лист1!49:49,"AAAAAC+//5A=",0)</f>
        <v>0</v>
      </c>
      <c r="EP1" t="e">
        <f>AND(Лист1!A49,"AAAAAC+//5E=")</f>
        <v>#VALUE!</v>
      </c>
      <c r="EQ1" t="e">
        <f>AND(Лист1!B49,"AAAAAC+//5I=")</f>
        <v>#VALUE!</v>
      </c>
      <c r="ER1">
        <f>IF(Лист1!50:50,"AAAAAC+//5M=",0)</f>
        <v>0</v>
      </c>
      <c r="ES1" t="e">
        <f>AND(Лист1!A50,"AAAAAC+//5Q=")</f>
        <v>#VALUE!</v>
      </c>
      <c r="ET1" t="e">
        <f>AND(Лист1!B50,"AAAAAC+//5U=")</f>
        <v>#VALUE!</v>
      </c>
      <c r="EU1">
        <f>IF(Лист1!51:51,"AAAAAC+//5Y=",0)</f>
        <v>0</v>
      </c>
      <c r="EV1" t="e">
        <f>AND(Лист1!A51,"AAAAAC+//5c=")</f>
        <v>#VALUE!</v>
      </c>
      <c r="EW1" t="e">
        <f>AND(Лист1!B51,"AAAAAC+//5g=")</f>
        <v>#VALUE!</v>
      </c>
      <c r="EX1">
        <f>IF(Лист1!52:52,"AAAAAC+//5k=",0)</f>
        <v>0</v>
      </c>
      <c r="EY1" t="e">
        <f>AND(Лист1!A52,"AAAAAC+//5o=")</f>
        <v>#VALUE!</v>
      </c>
      <c r="EZ1" t="e">
        <f>AND(Лист1!B52,"AAAAAC+//5s=")</f>
        <v>#VALUE!</v>
      </c>
      <c r="FA1">
        <f>IF(Лист1!53:53,"AAAAAC+//5w=",0)</f>
        <v>0</v>
      </c>
      <c r="FB1" t="e">
        <f>AND(Лист1!A53,"AAAAAC+//50=")</f>
        <v>#VALUE!</v>
      </c>
      <c r="FC1" t="e">
        <f>AND(Лист1!B53,"AAAAAC+//54=")</f>
        <v>#VALUE!</v>
      </c>
      <c r="FD1">
        <f>IF(Лист1!54:54,"AAAAAC+//58=",0)</f>
        <v>0</v>
      </c>
      <c r="FE1" t="e">
        <f>AND(Лист1!A54,"AAAAAC+//6A=")</f>
        <v>#VALUE!</v>
      </c>
      <c r="FF1" t="e">
        <f>AND(Лист1!B54,"AAAAAC+//6E=")</f>
        <v>#VALUE!</v>
      </c>
      <c r="FG1">
        <f>IF(Лист1!55:55,"AAAAAC+//6I=",0)</f>
        <v>0</v>
      </c>
      <c r="FH1" t="e">
        <f>AND(Лист1!A55,"AAAAAC+//6M=")</f>
        <v>#VALUE!</v>
      </c>
      <c r="FI1" t="e">
        <f>AND(Лист1!B55,"AAAAAC+//6Q=")</f>
        <v>#VALUE!</v>
      </c>
      <c r="FJ1">
        <f>IF(Лист1!56:56,"AAAAAC+//6U=",0)</f>
        <v>0</v>
      </c>
      <c r="FK1" t="e">
        <f>AND(Лист1!A56,"AAAAAC+//6Y=")</f>
        <v>#VALUE!</v>
      </c>
      <c r="FL1" t="e">
        <f>AND(Лист1!B56,"AAAAAC+//6c=")</f>
        <v>#VALUE!</v>
      </c>
      <c r="FM1">
        <f>IF(Лист1!57:57,"AAAAAC+//6g=",0)</f>
        <v>0</v>
      </c>
      <c r="FN1" t="e">
        <f>AND(Лист1!A57,"AAAAAC+//6k=")</f>
        <v>#VALUE!</v>
      </c>
      <c r="FO1" t="e">
        <f>AND(Лист1!B57,"AAAAAC+//6o=")</f>
        <v>#VALUE!</v>
      </c>
      <c r="FP1">
        <f>IF(Лист1!58:58,"AAAAAC+//6s=",0)</f>
        <v>0</v>
      </c>
      <c r="FQ1" t="e">
        <f>AND(Лист1!A58,"AAAAAC+//6w=")</f>
        <v>#VALUE!</v>
      </c>
      <c r="FR1" t="e">
        <f>AND(Лист1!B58,"AAAAAC+//60=")</f>
        <v>#VALUE!</v>
      </c>
      <c r="FS1">
        <f>IF(Лист1!59:59,"AAAAAC+//64=",0)</f>
        <v>0</v>
      </c>
      <c r="FT1" t="e">
        <f>AND(Лист1!A59,"AAAAAC+//68=")</f>
        <v>#VALUE!</v>
      </c>
      <c r="FU1" t="e">
        <f>AND(Лист1!B59,"AAAAAC+//7A=")</f>
        <v>#VALUE!</v>
      </c>
      <c r="FV1">
        <f>IF(Лист1!60:60,"AAAAAC+//7E=",0)</f>
        <v>0</v>
      </c>
      <c r="FW1" t="e">
        <f>AND(Лист1!A60,"AAAAAC+//7I=")</f>
        <v>#VALUE!</v>
      </c>
      <c r="FX1" t="e">
        <f>AND(Лист1!B60,"AAAAAC+//7M=")</f>
        <v>#VALUE!</v>
      </c>
      <c r="FY1">
        <f>IF(Лист1!61:61,"AAAAAC+//7Q=",0)</f>
        <v>0</v>
      </c>
      <c r="FZ1" t="e">
        <f>AND(Лист1!A61,"AAAAAC+//7U=")</f>
        <v>#VALUE!</v>
      </c>
      <c r="GA1" t="e">
        <f>AND(Лист1!B61,"AAAAAC+//7Y=")</f>
        <v>#VALUE!</v>
      </c>
      <c r="GB1">
        <f>IF(Лист1!62:62,"AAAAAC+//7c=",0)</f>
        <v>0</v>
      </c>
      <c r="GC1" t="e">
        <f>AND(Лист1!A62,"AAAAAC+//7g=")</f>
        <v>#VALUE!</v>
      </c>
      <c r="GD1" t="e">
        <f>AND(Лист1!B62,"AAAAAC+//7k=")</f>
        <v>#VALUE!</v>
      </c>
      <c r="GE1">
        <f>IF(Лист1!63:63,"AAAAAC+//7o=",0)</f>
        <v>0</v>
      </c>
      <c r="GF1" t="e">
        <f>AND(Лист1!A63,"AAAAAC+//7s=")</f>
        <v>#VALUE!</v>
      </c>
      <c r="GG1" t="e">
        <f>AND(Лист1!B63,"AAAAAC+//7w=")</f>
        <v>#VALUE!</v>
      </c>
      <c r="GH1">
        <f>IF(Лист1!64:64,"AAAAAC+//70=",0)</f>
        <v>0</v>
      </c>
      <c r="GI1" t="e">
        <f>AND(Лист1!A64,"AAAAAC+//74=")</f>
        <v>#VALUE!</v>
      </c>
      <c r="GJ1" t="e">
        <f>AND(Лист1!B64,"AAAAAC+//78=")</f>
        <v>#VALUE!</v>
      </c>
      <c r="GK1">
        <f>IF(Лист1!65:65,"AAAAAC+//8A=",0)</f>
        <v>0</v>
      </c>
      <c r="GL1" t="e">
        <f>AND(Лист1!A65,"AAAAAC+//8E=")</f>
        <v>#VALUE!</v>
      </c>
      <c r="GM1" t="e">
        <f>AND(Лист1!B65,"AAAAAC+//8I=")</f>
        <v>#VALUE!</v>
      </c>
      <c r="GN1">
        <f>IF(Лист1!66:66,"AAAAAC+//8M=",0)</f>
        <v>0</v>
      </c>
      <c r="GO1" t="e">
        <f>AND(Лист1!A66,"AAAAAC+//8Q=")</f>
        <v>#VALUE!</v>
      </c>
      <c r="GP1" t="e">
        <f>AND(Лист1!B66,"AAAAAC+//8U=")</f>
        <v>#VALUE!</v>
      </c>
      <c r="GQ1">
        <f>IF(Лист1!67:67,"AAAAAC+//8Y=",0)</f>
        <v>0</v>
      </c>
      <c r="GR1" t="e">
        <f>AND(Лист1!A67,"AAAAAC+//8c=")</f>
        <v>#VALUE!</v>
      </c>
      <c r="GS1" t="e">
        <f>AND(Лист1!B67,"AAAAAC+//8g=")</f>
        <v>#VALUE!</v>
      </c>
      <c r="GT1">
        <f>IF(Лист1!68:68,"AAAAAC+//8k=",0)</f>
        <v>0</v>
      </c>
      <c r="GU1" t="e">
        <f>AND(Лист1!A68,"AAAAAC+//8o=")</f>
        <v>#VALUE!</v>
      </c>
      <c r="GV1" t="e">
        <f>AND(Лист1!B68,"AAAAAC+//8s=")</f>
        <v>#VALUE!</v>
      </c>
      <c r="GW1">
        <f>IF(Лист1!69:69,"AAAAAC+//8w=",0)</f>
        <v>0</v>
      </c>
      <c r="GX1" t="e">
        <f>AND(Лист1!A69,"AAAAAC+//80=")</f>
        <v>#VALUE!</v>
      </c>
      <c r="GY1" t="e">
        <f>AND(Лист1!B69,"AAAAAC+//84=")</f>
        <v>#VALUE!</v>
      </c>
      <c r="GZ1">
        <f>IF(Лист1!70:70,"AAAAAC+//88=",0)</f>
        <v>0</v>
      </c>
      <c r="HA1" t="e">
        <f>AND(Лист1!A70,"AAAAAC+//9A=")</f>
        <v>#VALUE!</v>
      </c>
      <c r="HB1" t="e">
        <f>AND(Лист1!B70,"AAAAAC+//9E=")</f>
        <v>#VALUE!</v>
      </c>
      <c r="HC1">
        <f>IF(Лист1!71:71,"AAAAAC+//9I=",0)</f>
        <v>0</v>
      </c>
      <c r="HD1" t="e">
        <f>AND(Лист1!A71,"AAAAAC+//9M=")</f>
        <v>#VALUE!</v>
      </c>
      <c r="HE1" t="e">
        <f>AND(Лист1!B71,"AAAAAC+//9Q=")</f>
        <v>#VALUE!</v>
      </c>
      <c r="HF1">
        <f>IF(Лист1!72:72,"AAAAAC+//9U=",0)</f>
        <v>0</v>
      </c>
      <c r="HG1" t="e">
        <f>AND(Лист1!A72,"AAAAAC+//9Y=")</f>
        <v>#VALUE!</v>
      </c>
      <c r="HH1" t="e">
        <f>AND(Лист1!B72,"AAAAAC+//9c=")</f>
        <v>#VALUE!</v>
      </c>
      <c r="HI1">
        <f>IF(Лист1!73:73,"AAAAAC+//9g=",0)</f>
        <v>0</v>
      </c>
      <c r="HJ1" t="e">
        <f>AND(Лист1!A73,"AAAAAC+//9k=")</f>
        <v>#VALUE!</v>
      </c>
      <c r="HK1" t="e">
        <f>AND(Лист1!B73,"AAAAAC+//9o=")</f>
        <v>#VALUE!</v>
      </c>
      <c r="HL1">
        <f>IF(Лист1!74:74,"AAAAAC+//9s=",0)</f>
        <v>0</v>
      </c>
      <c r="HM1" t="e">
        <f>AND(Лист1!A76,"AAAAAC+//9w=")</f>
        <v>#VALUE!</v>
      </c>
      <c r="HN1" t="e">
        <f>AND(Лист1!B74,"AAAAAC+//90=")</f>
        <v>#VALUE!</v>
      </c>
      <c r="HO1">
        <f>IF(Лист1!75:75,"AAAAAC+//94=",0)</f>
        <v>0</v>
      </c>
      <c r="HP1" t="e">
        <f>AND(Лист1!A77,"AAAAAC+//98=")</f>
        <v>#VALUE!</v>
      </c>
      <c r="HQ1" t="e">
        <f>AND(Лист1!B75,"AAAAAC+//+A=")</f>
        <v>#VALUE!</v>
      </c>
      <c r="HR1">
        <f>IF(Лист1!76:76,"AAAAAC+//+E=",0)</f>
        <v>0</v>
      </c>
      <c r="HS1" t="e">
        <f>AND(Лист1!#REF!,"AAAAAC+//+I=")</f>
        <v>#REF!</v>
      </c>
      <c r="HT1" t="e">
        <f>AND(Лист1!B76,"AAAAAC+//+M=")</f>
        <v>#VALUE!</v>
      </c>
      <c r="HU1">
        <f>IF(Лист1!77:77,"AAAAAC+//+Q=",0)</f>
        <v>0</v>
      </c>
      <c r="HV1" t="e">
        <f>AND(Лист1!#REF!,"AAAAAC+//+U=")</f>
        <v>#REF!</v>
      </c>
      <c r="HW1" t="e">
        <f>AND(Лист1!B77,"AAAAAC+//+Y=")</f>
        <v>#VALUE!</v>
      </c>
      <c r="HX1">
        <f>IF(Лист1!78:78,"AAAAAC+//+c=",0)</f>
        <v>0</v>
      </c>
      <c r="HY1" t="e">
        <f>AND(Лист1!A78,"AAAAAC+//+g=")</f>
        <v>#VALUE!</v>
      </c>
      <c r="HZ1" t="e">
        <f>AND(Лист1!B78,"AAAAAC+//+k=")</f>
        <v>#VALUE!</v>
      </c>
      <c r="IA1">
        <f>IF(Лист1!79:79,"AAAAAC+//+o=",0)</f>
        <v>0</v>
      </c>
      <c r="IB1" t="e">
        <f>AND(Лист1!A79,"AAAAAC+//+s=")</f>
        <v>#VALUE!</v>
      </c>
      <c r="IC1" t="e">
        <f>AND(Лист1!B79,"AAAAAC+//+w=")</f>
        <v>#VALUE!</v>
      </c>
      <c r="ID1">
        <f>IF(Лист1!80:80,"AAAAAC+//+0=",0)</f>
        <v>0</v>
      </c>
      <c r="IE1" t="e">
        <f>AND(Лист1!A80,"AAAAAC+//+4=")</f>
        <v>#VALUE!</v>
      </c>
      <c r="IF1" t="e">
        <f>AND(Лист1!B80,"AAAAAC+//+8=")</f>
        <v>#VALUE!</v>
      </c>
      <c r="IG1">
        <f>IF(Лист1!81:81,"AAAAAC+///A=",0)</f>
        <v>0</v>
      </c>
      <c r="IH1" t="e">
        <f>AND(Лист1!A81,"AAAAAC+///E=")</f>
        <v>#VALUE!</v>
      </c>
      <c r="II1" t="e">
        <f>AND(Лист1!B81,"AAAAAC+///I=")</f>
        <v>#VALUE!</v>
      </c>
      <c r="IJ1">
        <f>IF(Лист1!82:82,"AAAAAC+///M=",0)</f>
        <v>0</v>
      </c>
      <c r="IK1" t="e">
        <f>AND(Лист1!A82,"AAAAAC+///Q=")</f>
        <v>#VALUE!</v>
      </c>
      <c r="IL1" t="e">
        <f>AND(Лист1!B82,"AAAAAC+///U=")</f>
        <v>#VALUE!</v>
      </c>
      <c r="IM1">
        <f>IF(Лист1!83:83,"AAAAAC+///Y=",0)</f>
        <v>0</v>
      </c>
      <c r="IN1" t="e">
        <f>AND(Лист1!A83,"AAAAAC+///c=")</f>
        <v>#VALUE!</v>
      </c>
      <c r="IO1" t="e">
        <f>AND(Лист1!B83,"AAAAAC+///g=")</f>
        <v>#VALUE!</v>
      </c>
      <c r="IP1">
        <f>IF(Лист1!84:84,"AAAAAC+///k=",0)</f>
        <v>0</v>
      </c>
      <c r="IQ1" t="e">
        <f>AND(Лист1!A84,"AAAAAC+///o=")</f>
        <v>#VALUE!</v>
      </c>
      <c r="IR1" t="e">
        <f>AND(Лист1!B84,"AAAAAC+///s=")</f>
        <v>#VALUE!</v>
      </c>
      <c r="IS1">
        <f>IF(Лист1!85:85,"AAAAAC+///w=",0)</f>
        <v>0</v>
      </c>
      <c r="IT1" t="e">
        <f>AND(Лист1!A88,"AAAAAC+///0=")</f>
        <v>#VALUE!</v>
      </c>
      <c r="IU1" t="e">
        <f>AND(Лист1!B85,"AAAAAC+///4=")</f>
        <v>#VALUE!</v>
      </c>
      <c r="IV1">
        <f>IF(Лист1!86:86,"AAAAAC+///8=",0)</f>
        <v>0</v>
      </c>
    </row>
    <row r="2" spans="1:32" ht="12.75">
      <c r="A2" t="e">
        <f>AND(Лист1!A89,"AAAAAG5v8wA=")</f>
        <v>#VALUE!</v>
      </c>
      <c r="B2" t="e">
        <f>AND(Лист1!B86,"AAAAAG5v8wE=")</f>
        <v>#VALUE!</v>
      </c>
      <c r="C2">
        <f>IF(Лист1!87:87,"AAAAAG5v8wI=",0)</f>
        <v>0</v>
      </c>
      <c r="D2" t="e">
        <f>AND(Лист1!A90,"AAAAAG5v8wM=")</f>
        <v>#VALUE!</v>
      </c>
      <c r="E2" t="e">
        <f>AND(Лист1!B87,"AAAAAG5v8wQ=")</f>
        <v>#VALUE!</v>
      </c>
      <c r="F2">
        <f>IF(Лист1!88:88,"AAAAAG5v8wU=",0)</f>
        <v>0</v>
      </c>
      <c r="G2" t="e">
        <f>AND(Лист1!A91,"AAAAAG5v8wY=")</f>
        <v>#VALUE!</v>
      </c>
      <c r="H2" t="e">
        <f>AND(Лист1!B88,"AAAAAG5v8wc=")</f>
        <v>#VALUE!</v>
      </c>
      <c r="I2">
        <f>IF(Лист1!89:89,"AAAAAG5v8wg=",0)</f>
        <v>0</v>
      </c>
      <c r="J2" t="e">
        <f>AND(Лист1!A92,"AAAAAG5v8wk=")</f>
        <v>#VALUE!</v>
      </c>
      <c r="K2" t="e">
        <f>AND(Лист1!B89,"AAAAAG5v8wo=")</f>
        <v>#VALUE!</v>
      </c>
      <c r="L2">
        <f>IF(Лист1!90:90,"AAAAAG5v8ws=",0)</f>
        <v>0</v>
      </c>
      <c r="M2" t="e">
        <f>AND(Лист1!#REF!,"AAAAAG5v8ww=")</f>
        <v>#REF!</v>
      </c>
      <c r="N2" t="e">
        <f>AND(Лист1!B90,"AAAAAG5v8w0=")</f>
        <v>#VALUE!</v>
      </c>
      <c r="O2">
        <f>IF(Лист1!91:91,"AAAAAG5v8w4=",0)</f>
        <v>0</v>
      </c>
      <c r="P2" t="e">
        <f>AND(Лист1!#REF!,"AAAAAG5v8w8=")</f>
        <v>#REF!</v>
      </c>
      <c r="Q2" t="e">
        <f>AND(Лист1!B91,"AAAAAG5v8xA=")</f>
        <v>#VALUE!</v>
      </c>
      <c r="R2">
        <f>IF(Лист1!92:92,"AAAAAG5v8xE=",0)</f>
        <v>0</v>
      </c>
      <c r="S2" t="e">
        <f>AND(Лист1!#REF!,"AAAAAG5v8xI=")</f>
        <v>#REF!</v>
      </c>
      <c r="T2" t="e">
        <f>AND(Лист1!B92,"AAAAAG5v8xM=")</f>
        <v>#VALUE!</v>
      </c>
      <c r="U2">
        <f>IF(Лист1!93:93,"AAAAAG5v8xQ=",0)</f>
        <v>0</v>
      </c>
      <c r="V2" t="e">
        <f>AND(Лист1!A93,"AAAAAG5v8xU=")</f>
        <v>#VALUE!</v>
      </c>
      <c r="W2" t="e">
        <f>AND(Лист1!B93,"AAAAAG5v8xY=")</f>
        <v>#VALUE!</v>
      </c>
      <c r="X2">
        <f>IF(Лист1!A:A,"AAAAAG5v8xc=",0)</f>
        <v>0</v>
      </c>
      <c r="Y2">
        <f>IF(Лист1!B:B,"AAAAAG5v8xg=",0)</f>
        <v>0</v>
      </c>
      <c r="Z2">
        <f>IF(Лист2!1:1,"AAAAAG5v8xk=",0)</f>
        <v>0</v>
      </c>
      <c r="AA2" t="e">
        <f>AND(Лист2!A1,"AAAAAG5v8xo=")</f>
        <v>#VALUE!</v>
      </c>
      <c r="AB2">
        <f>IF(Лист2!A:A,"AAAAAG5v8xs=",0)</f>
        <v>0</v>
      </c>
      <c r="AC2">
        <f>IF(Лист3!1:1,"AAAAAG5v8xw=",0)</f>
        <v>0</v>
      </c>
      <c r="AD2" t="e">
        <f>AND(Лист3!A1,"AAAAAG5v8x0=")</f>
        <v>#VALUE!</v>
      </c>
      <c r="AE2">
        <f>IF(Лист3!A:A,"AAAAAG5v8x4=",0)</f>
        <v>0</v>
      </c>
      <c r="AF2" t="s">
        <v>16</v>
      </c>
    </row>
    <row r="3" spans="1:5" ht="12.75">
      <c r="A3" t="e">
        <f>AND(Лист1!A74,"AAAAAHzu+wA=")</f>
        <v>#VALUE!</v>
      </c>
      <c r="B3" t="e">
        <f>AND(Лист1!A75,"AAAAAHzu+wE=")</f>
        <v>#VALUE!</v>
      </c>
      <c r="C3" t="e">
        <f>AND(Лист1!A85,"AAAAAHzu+wI=")</f>
        <v>#VALUE!</v>
      </c>
      <c r="D3" t="e">
        <f>AND(Лист1!A86,"AAAAAHzu+wM=")</f>
        <v>#VALUE!</v>
      </c>
      <c r="E3" t="e">
        <f>AND(Лист1!A87,"AAAAAHzu+wQ=")</f>
        <v>#VALUE!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Denis L.</cp:lastModifiedBy>
  <cp:lastPrinted>2013-04-08T04:54:15Z</cp:lastPrinted>
  <dcterms:created xsi:type="dcterms:W3CDTF">2011-03-30T16:11:42Z</dcterms:created>
  <dcterms:modified xsi:type="dcterms:W3CDTF">2013-04-08T05:04:30Z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19TdMD0lkHGpTzP0JrKNdYvmCKiIvWSRBVp-kGP9lmoM</vt:lpwstr>
  </property>
  <property fmtid="{D5CDD505-2E9C-101B-9397-08002B2CF9AE}" pid="4" name="Google.Documents.RevisionId">
    <vt:lpwstr>00860048119965211005</vt:lpwstr>
  </property>
  <property fmtid="{D5CDD505-2E9C-101B-9397-08002B2CF9AE}" pid="5" name="Google.Documents.PreviousRevisionId">
    <vt:lpwstr>07163950364317489633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